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aveExternalLinkValues="0" codeName="ThisWorkbook" defaultThemeVersion="124226"/>
  <bookViews>
    <workbookView xWindow="-3540" yWindow="1155" windowWidth="20730" windowHeight="11700" activeTab="3"/>
  </bookViews>
  <sheets>
    <sheet name="Table1" sheetId="1" r:id="rId1"/>
    <sheet name="Income" sheetId="2" r:id="rId2"/>
    <sheet name="Prices" sheetId="3" r:id="rId3"/>
    <sheet name="Spending" sheetId="5" r:id="rId4"/>
  </sheets>
  <calcPr calcId="145621"/>
</workbook>
</file>

<file path=xl/calcChain.xml><?xml version="1.0" encoding="utf-8"?>
<calcChain xmlns="http://schemas.openxmlformats.org/spreadsheetml/2006/main">
  <c r="B20" i="5" l="1"/>
  <c r="D14" i="2"/>
  <c r="B21" i="5"/>
  <c r="K20" i="5" l="1"/>
  <c r="K29" i="5" s="1"/>
  <c r="K30" i="5" s="1"/>
  <c r="K31" i="5" s="1"/>
  <c r="K32" i="5" s="1"/>
  <c r="K33" i="5" s="1"/>
  <c r="H21" i="5"/>
  <c r="H20" i="5"/>
  <c r="H29" i="5" s="1"/>
  <c r="H30" i="5" s="1"/>
  <c r="H31" i="5" s="1"/>
  <c r="H32" i="5" s="1"/>
  <c r="H33" i="5" s="1"/>
  <c r="E20" i="5"/>
  <c r="E21" i="5" s="1"/>
  <c r="B9" i="3"/>
  <c r="B8" i="3"/>
  <c r="D15" i="2"/>
  <c r="D17" i="2" s="1"/>
  <c r="D16" i="2"/>
  <c r="L9" i="1"/>
  <c r="M9" i="1" s="1"/>
  <c r="L13" i="1"/>
  <c r="L14" i="1"/>
  <c r="C6" i="1"/>
  <c r="E6" i="1"/>
  <c r="G6" i="1"/>
  <c r="L4" i="1"/>
  <c r="G4" i="1"/>
  <c r="K4" i="1"/>
  <c r="G5" i="1"/>
  <c r="K5" i="1"/>
  <c r="L5" i="1" s="1"/>
  <c r="K6" i="1"/>
  <c r="L6" i="1" s="1"/>
  <c r="G7" i="1"/>
  <c r="K7" i="1"/>
  <c r="L7" i="1" s="1"/>
  <c r="G8" i="1"/>
  <c r="K8" i="1"/>
  <c r="L8" i="1" s="1"/>
  <c r="L15" i="1" s="1"/>
  <c r="B20" i="1"/>
  <c r="B19" i="1"/>
  <c r="C7" i="1"/>
  <c r="E5" i="1"/>
  <c r="E4" i="1"/>
  <c r="C4" i="1"/>
  <c r="K21" i="5" l="1"/>
  <c r="K22" i="5"/>
  <c r="K23" i="5" s="1"/>
  <c r="K34" i="5" s="1"/>
  <c r="H22" i="5"/>
  <c r="H23" i="5" s="1"/>
  <c r="E22" i="5"/>
  <c r="E23" i="5" s="1"/>
  <c r="E24" i="5" s="1"/>
  <c r="E29" i="5"/>
  <c r="E30" i="5" s="1"/>
  <c r="E31" i="5" s="1"/>
  <c r="E32" i="5" s="1"/>
  <c r="E33" i="5" s="1"/>
  <c r="B29" i="5"/>
  <c r="B30" i="5" s="1"/>
  <c r="B31" i="5" s="1"/>
  <c r="B32" i="5" s="1"/>
  <c r="B33" i="5" s="1"/>
  <c r="D18" i="2"/>
  <c r="M5" i="1"/>
  <c r="M4" i="1"/>
  <c r="M6" i="1"/>
  <c r="M7" i="1"/>
  <c r="E23" i="1"/>
  <c r="E22" i="1"/>
  <c r="E21" i="1"/>
  <c r="E20" i="1"/>
  <c r="E19" i="1"/>
  <c r="B23" i="1"/>
  <c r="B22" i="1"/>
  <c r="B21" i="1"/>
  <c r="K36" i="5" l="1"/>
  <c r="K35" i="5"/>
  <c r="K25" i="5"/>
  <c r="K24" i="5"/>
  <c r="H34" i="5"/>
  <c r="H24" i="5"/>
  <c r="H25" i="5"/>
  <c r="E25" i="5"/>
  <c r="E34" i="5"/>
  <c r="E36" i="5" s="1"/>
  <c r="B22" i="5"/>
  <c r="B23" i="5" s="1"/>
  <c r="M10" i="1"/>
  <c r="M11" i="1" s="1"/>
  <c r="M12" i="1" s="1"/>
  <c r="E8" i="1"/>
  <c r="F6" i="1" s="1"/>
  <c r="C8" i="1"/>
  <c r="C5" i="1"/>
  <c r="E7" i="1"/>
  <c r="H35" i="5" l="1"/>
  <c r="H36" i="5"/>
  <c r="E35" i="5"/>
  <c r="B24" i="5"/>
  <c r="B25" i="5"/>
  <c r="B34" i="5"/>
  <c r="F4" i="1"/>
  <c r="F5" i="1"/>
  <c r="F7" i="1"/>
  <c r="B36" i="5" l="1"/>
  <c r="B35" i="5"/>
</calcChain>
</file>

<file path=xl/sharedStrings.xml><?xml version="1.0" encoding="utf-8"?>
<sst xmlns="http://schemas.openxmlformats.org/spreadsheetml/2006/main" count="144" uniqueCount="68">
  <si>
    <t>Subset</t>
  </si>
  <si>
    <t>Total Weekly Earnings</t>
  </si>
  <si>
    <t>Number of People</t>
  </si>
  <si>
    <t>Total Annual Earnings</t>
  </si>
  <si>
    <t>$6 - $7.25</t>
  </si>
  <si>
    <t>$6 - $9</t>
  </si>
  <si>
    <t>$6 - $10</t>
  </si>
  <si>
    <t>Weekly earnings per person</t>
  </si>
  <si>
    <t>earnings*3</t>
  </si>
  <si>
    <t>All hourly workers</t>
  </si>
  <si>
    <t>All workers</t>
  </si>
  <si>
    <t>Total Annual Earnings*3</t>
  </si>
  <si>
    <t>share of wage payments</t>
  </si>
  <si>
    <t>Share of Wage Payments</t>
  </si>
  <si>
    <t>Pay Range</t>
  </si>
  <si>
    <t>(in millions)</t>
  </si>
  <si>
    <t>Number of Workers</t>
  </si>
  <si>
    <t>Table 1: Distribution of Wages in US Economy</t>
  </si>
  <si>
    <t>Share of workers</t>
  </si>
  <si>
    <t>(in billions)</t>
  </si>
  <si>
    <t>Share of Workers</t>
  </si>
  <si>
    <t>share of wage payments affected</t>
  </si>
  <si>
    <t>*earning's_share of total cost=share of total cost affected</t>
  </si>
  <si>
    <t>*24% rise in the minimum wage=%increase in aggregate prices</t>
  </si>
  <si>
    <t>percent increase in consumer prices</t>
  </si>
  <si>
    <t>**************************************************************************************</t>
  </si>
  <si>
    <t>in billions</t>
  </si>
  <si>
    <t>*1.75</t>
  </si>
  <si>
    <t>share of GDP (the GDP boost)</t>
  </si>
  <si>
    <t>share of consumption (the consumption boost)</t>
  </si>
  <si>
    <t>Compensation of employees:</t>
  </si>
  <si>
    <t>Wage and salary disbursements:</t>
  </si>
  <si>
    <t>CPS wages</t>
  </si>
  <si>
    <t>income loss to above min wage</t>
  </si>
  <si>
    <t>Aggregate spending effect</t>
  </si>
  <si>
    <t>share of GDP</t>
  </si>
  <si>
    <t>share of consumption</t>
  </si>
  <si>
    <t>employment elasticity teen</t>
  </si>
  <si>
    <t>employment elasticity adult</t>
  </si>
  <si>
    <t># of people*3</t>
  </si>
  <si>
    <t>How many low-wage workers are there?</t>
  </si>
  <si>
    <t>From Aaronson, Agarwal, French (2012):</t>
  </si>
  <si>
    <t>increase in income per quarter in response to $1 increase in minwage</t>
  </si>
  <si>
    <t>$6-9</t>
  </si>
  <si>
    <t>$9-10</t>
  </si>
  <si>
    <t>total income increase qtr:</t>
  </si>
  <si>
    <t>Assume $6-9 get full increase, $9-10 get 1/3 increase</t>
  </si>
  <si>
    <t>total income increase year:</t>
  </si>
  <si>
    <t>Tot</t>
  </si>
  <si>
    <t>Consumer prices</t>
  </si>
  <si>
    <t>Tot increase in income (from previous estimate)</t>
  </si>
  <si>
    <t>GDP (nominal 2012 billion)</t>
  </si>
  <si>
    <t>Consumption (nominal 2012 billion)</t>
  </si>
  <si>
    <t>Passthrough</t>
  </si>
  <si>
    <t>Aggregate prices:</t>
  </si>
  <si>
    <t>Aggregate consumer prices:</t>
  </si>
  <si>
    <t>Aggregate Household Spending</t>
  </si>
  <si>
    <t>avg number of workers</t>
  </si>
  <si>
    <t>Non minwage guys</t>
  </si>
  <si>
    <t>Minwage guys</t>
  </si>
  <si>
    <t>*1.75=income gain to min wage</t>
  </si>
  <si>
    <t>income gain of min wage guys per $1</t>
  </si>
  <si>
    <t>MPC of 0.8 = spending decline of above minwage</t>
  </si>
  <si>
    <t>GDP (nominal 2012 billions)</t>
  </si>
  <si>
    <t>Consumption (nominal 2012 billions)</t>
  </si>
  <si>
    <t>*2800 adults, 1000 teens</t>
  </si>
  <si>
    <t>*1400 adults, 1000 teens</t>
  </si>
  <si>
    <t>Household income: increase in income from a $1.75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</si>
</sst>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_);_(&quot;$&quot;* \(#,##0.0000\);_(&quot;$&quot;* &quot;-&quot;??_);_(@_)"/>
    <numFmt numFmtId="166" formatCode="_(* #,##0.0000_);_(* \(#,##0.0000\);_(* &quot;-&quot;??_);_(@_)"/>
    <numFmt numFmtId="167" formatCode="_(* #,##0.00000_);_(* \(#,##0.000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ont="1" applyBorder="1"/>
    <xf numFmtId="44" fontId="0" fillId="0" borderId="0" xfId="1" applyFont="1"/>
    <xf numFmtId="44" fontId="0" fillId="0" borderId="0" xfId="0" applyNumberFormat="1"/>
    <xf numFmtId="11" fontId="0" fillId="0" borderId="0" xfId="0" applyNumberFormat="1"/>
    <xf numFmtId="43" fontId="0" fillId="0" borderId="0" xfId="2" applyFont="1"/>
    <xf numFmtId="0" fontId="0" fillId="0" borderId="0" xfId="0" applyFont="1" applyFill="1" applyBorder="1"/>
    <xf numFmtId="0" fontId="0" fillId="0" borderId="0" xfId="0" applyFont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0" xfId="0" applyNumberFormat="1"/>
    <xf numFmtId="0" fontId="0" fillId="0" borderId="0" xfId="2" applyNumberFormat="1" applyFont="1"/>
    <xf numFmtId="0" fontId="0" fillId="0" borderId="0" xfId="0" applyNumberFormat="1" applyFont="1" applyBorder="1"/>
    <xf numFmtId="164" fontId="0" fillId="0" borderId="0" xfId="2" applyNumberFormat="1" applyFont="1"/>
    <xf numFmtId="43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0" fillId="0" borderId="0" xfId="0" applyBorder="1"/>
    <xf numFmtId="0" fontId="0" fillId="2" borderId="0" xfId="0" applyFill="1"/>
    <xf numFmtId="164" fontId="0" fillId="2" borderId="0" xfId="2" applyNumberFormat="1" applyFont="1" applyFill="1"/>
    <xf numFmtId="0" fontId="0" fillId="2" borderId="0" xfId="0" applyFont="1" applyFill="1" applyBorder="1" applyAlignment="1">
      <alignment wrapText="1"/>
    </xf>
    <xf numFmtId="0" fontId="0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ont="1" applyFill="1" applyBorder="1"/>
    <xf numFmtId="2" fontId="0" fillId="2" borderId="0" xfId="0" applyNumberFormat="1" applyFill="1"/>
    <xf numFmtId="43" fontId="0" fillId="2" borderId="0" xfId="2" applyFont="1" applyFill="1"/>
    <xf numFmtId="43" fontId="0" fillId="2" borderId="0" xfId="2" applyFont="1" applyFill="1" applyBorder="1"/>
    <xf numFmtId="0" fontId="0" fillId="0" borderId="0" xfId="0" applyAlignment="1">
      <alignment horizontal="center"/>
    </xf>
    <xf numFmtId="0" fontId="2" fillId="0" borderId="0" xfId="0" applyFont="1"/>
    <xf numFmtId="6" fontId="0" fillId="0" borderId="0" xfId="0" applyNumberFormat="1"/>
    <xf numFmtId="0" fontId="0" fillId="0" borderId="0" xfId="1" applyNumberFormat="1" applyFont="1"/>
    <xf numFmtId="4" fontId="0" fillId="0" borderId="0" xfId="0" applyNumberFormat="1"/>
    <xf numFmtId="0" fontId="0" fillId="0" borderId="0" xfId="0" applyFont="1"/>
    <xf numFmtId="0" fontId="0" fillId="0" borderId="0" xfId="0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1"/>
  <sheetViews>
    <sheetView workbookViewId="0">
      <selection activeCell="B19" sqref="B19"/>
    </sheetView>
  </sheetViews>
  <sheetFormatPr defaultRowHeight="15" x14ac:dyDescent="0.25"/>
  <cols>
    <col min="1" max="1" width="22.28515625" customWidth="1"/>
    <col min="2" max="2" width="20" customWidth="1"/>
    <col min="3" max="3" width="24.42578125" customWidth="1"/>
    <col min="4" max="4" width="15" customWidth="1"/>
    <col min="5" max="5" width="22.85546875" customWidth="1"/>
    <col min="6" max="6" width="18.85546875" customWidth="1"/>
    <col min="7" max="7" width="27.7109375" customWidth="1"/>
    <col min="8" max="8" width="10.5703125" bestFit="1" customWidth="1"/>
    <col min="11" max="11" width="22.7109375" bestFit="1" customWidth="1"/>
    <col min="12" max="12" width="24" customWidth="1"/>
    <col min="13" max="13" width="10.28515625" customWidth="1"/>
  </cols>
  <sheetData>
    <row r="1" spans="1:14" x14ac:dyDescent="0.25">
      <c r="A1" s="28" t="s">
        <v>40</v>
      </c>
    </row>
    <row r="3" spans="1:14" x14ac:dyDescent="0.25">
      <c r="A3" s="1" t="s">
        <v>0</v>
      </c>
      <c r="B3" t="s">
        <v>8</v>
      </c>
      <c r="C3" s="7" t="s">
        <v>1</v>
      </c>
      <c r="D3" t="s">
        <v>39</v>
      </c>
      <c r="E3" s="17" t="s">
        <v>2</v>
      </c>
      <c r="F3" s="6" t="s">
        <v>18</v>
      </c>
      <c r="G3" t="s">
        <v>7</v>
      </c>
      <c r="K3" t="s">
        <v>11</v>
      </c>
      <c r="L3" t="s">
        <v>3</v>
      </c>
      <c r="M3" t="s">
        <v>12</v>
      </c>
    </row>
    <row r="4" spans="1:14" x14ac:dyDescent="0.25">
      <c r="A4" s="1" t="s">
        <v>4</v>
      </c>
      <c r="B4" s="9">
        <v>1333216360.4779999</v>
      </c>
      <c r="C4">
        <f>B4/3</f>
        <v>444405453.49266666</v>
      </c>
      <c r="D4" s="9">
        <v>6330296.5999999996</v>
      </c>
      <c r="E4" s="5">
        <f>D4/3</f>
        <v>2110098.8666666667</v>
      </c>
      <c r="F4">
        <f>E4/E$8</f>
        <v>1.8019398158398307E-2</v>
      </c>
      <c r="G4" s="2">
        <f>B4/D4</f>
        <v>210.60882999984551</v>
      </c>
      <c r="I4">
        <v>52</v>
      </c>
      <c r="K4" s="3">
        <f>B4*I4</f>
        <v>69327250744.856003</v>
      </c>
      <c r="L4" s="3">
        <f>K4/3</f>
        <v>23109083581.618668</v>
      </c>
      <c r="M4">
        <f>L4/L8</f>
        <v>4.5556062228085826E-3</v>
      </c>
    </row>
    <row r="5" spans="1:14" x14ac:dyDescent="0.25">
      <c r="A5" s="1" t="s">
        <v>5</v>
      </c>
      <c r="B5" s="9">
        <v>11781753681.66</v>
      </c>
      <c r="C5">
        <f t="shared" ref="C5:C8" si="0">B5/3</f>
        <v>3927251227.2199998</v>
      </c>
      <c r="D5" s="9">
        <v>45288359</v>
      </c>
      <c r="E5" s="5">
        <f>D5/3</f>
        <v>15096119.666666666</v>
      </c>
      <c r="F5">
        <f t="shared" ref="F5:F7" si="1">E5/E$8</f>
        <v>0.12891480831427099</v>
      </c>
      <c r="G5" s="2">
        <f>B5/D5</f>
        <v>260.14971488942666</v>
      </c>
      <c r="I5">
        <v>52</v>
      </c>
      <c r="K5" s="3">
        <f>B5*I5</f>
        <v>612651191446.31995</v>
      </c>
      <c r="L5" s="3">
        <f t="shared" ref="L5:L6" si="2">K5/3</f>
        <v>204217063815.43997</v>
      </c>
      <c r="M5">
        <f>L5/L8</f>
        <v>4.0258304637459406E-2</v>
      </c>
    </row>
    <row r="6" spans="1:14" x14ac:dyDescent="0.25">
      <c r="A6" s="1" t="s">
        <v>6</v>
      </c>
      <c r="B6" s="9">
        <v>19494417747.889999</v>
      </c>
      <c r="C6">
        <f>B6/3</f>
        <v>6498139249.2966661</v>
      </c>
      <c r="D6" s="9">
        <v>66990116</v>
      </c>
      <c r="E6" s="5">
        <f>D6/3</f>
        <v>22330038.666666668</v>
      </c>
      <c r="F6">
        <f>E6/E$8</f>
        <v>0.19068957572719247</v>
      </c>
      <c r="G6" s="2">
        <f>B6/D6</f>
        <v>291.0043885860714</v>
      </c>
      <c r="I6">
        <v>52</v>
      </c>
      <c r="K6" s="3">
        <f>B6*I6</f>
        <v>1013709722890.28</v>
      </c>
      <c r="L6" s="3">
        <f t="shared" si="2"/>
        <v>337903240963.4267</v>
      </c>
      <c r="M6">
        <f>L6/L8</f>
        <v>6.6612511993534934E-2</v>
      </c>
    </row>
    <row r="7" spans="1:14" x14ac:dyDescent="0.25">
      <c r="A7" s="1" t="s">
        <v>9</v>
      </c>
      <c r="B7" s="9">
        <v>124880560376</v>
      </c>
      <c r="C7">
        <f>B7/3</f>
        <v>41626853458.666664</v>
      </c>
      <c r="D7" s="9">
        <v>207148572.71540001</v>
      </c>
      <c r="E7" s="5">
        <f t="shared" ref="E7:E8" si="3">D7/3</f>
        <v>69049524.238466665</v>
      </c>
      <c r="F7">
        <f t="shared" si="1"/>
        <v>0.58965524770240885</v>
      </c>
      <c r="G7" s="2">
        <f>B7/D7</f>
        <v>602.85503655182083</v>
      </c>
      <c r="I7">
        <v>52</v>
      </c>
      <c r="K7" s="3">
        <f>B7*I7</f>
        <v>6493789139552</v>
      </c>
      <c r="L7" s="3">
        <f>K7/3</f>
        <v>2164596379850.6667</v>
      </c>
      <c r="M7">
        <f>L7/L8</f>
        <v>0.42671742923463496</v>
      </c>
    </row>
    <row r="8" spans="1:14" x14ac:dyDescent="0.25">
      <c r="A8" s="6" t="s">
        <v>10</v>
      </c>
      <c r="B8" s="9">
        <v>292653994939.90002</v>
      </c>
      <c r="C8">
        <f t="shared" si="0"/>
        <v>97551331646.633347</v>
      </c>
      <c r="D8" s="11">
        <v>351304552.1473</v>
      </c>
      <c r="E8" s="5">
        <f t="shared" si="3"/>
        <v>117101517.38243334</v>
      </c>
      <c r="G8" s="2">
        <f>B8/D8</f>
        <v>833.04925356387605</v>
      </c>
      <c r="I8">
        <v>52</v>
      </c>
      <c r="K8" s="3">
        <f>B8*I8</f>
        <v>15218007736874.801</v>
      </c>
      <c r="L8" s="3">
        <f>K8/3</f>
        <v>5072669245624.9336</v>
      </c>
    </row>
    <row r="9" spans="1:14" x14ac:dyDescent="0.25">
      <c r="L9" s="14">
        <f>L5/K14</f>
        <v>2.967961107195919E-2</v>
      </c>
      <c r="M9" s="14">
        <f>L9</f>
        <v>2.967961107195919E-2</v>
      </c>
      <c r="N9" t="s">
        <v>21</v>
      </c>
    </row>
    <row r="10" spans="1:14" x14ac:dyDescent="0.25">
      <c r="C10" s="8"/>
      <c r="M10" s="3">
        <f>M9*0.44</f>
        <v>1.3059028871662043E-2</v>
      </c>
      <c r="N10" t="s">
        <v>22</v>
      </c>
    </row>
    <row r="11" spans="1:14" x14ac:dyDescent="0.25">
      <c r="A11" s="1"/>
      <c r="B11" s="9"/>
      <c r="D11" s="9"/>
      <c r="G11" s="2"/>
      <c r="M11" s="3">
        <f>M10*0.24</f>
        <v>3.1341669291988904E-3</v>
      </c>
      <c r="N11" t="s">
        <v>23</v>
      </c>
    </row>
    <row r="12" spans="1:14" x14ac:dyDescent="0.25">
      <c r="A12" s="1"/>
      <c r="B12" s="9"/>
      <c r="D12" s="9"/>
      <c r="G12" s="2"/>
      <c r="M12" s="3">
        <f>M11/0.7</f>
        <v>4.4773813274269865E-3</v>
      </c>
      <c r="N12" t="s">
        <v>24</v>
      </c>
    </row>
    <row r="13" spans="1:14" x14ac:dyDescent="0.25">
      <c r="A13" s="1"/>
      <c r="B13" s="9"/>
      <c r="D13" s="10"/>
      <c r="G13" s="2"/>
      <c r="I13" s="27" t="s">
        <v>30</v>
      </c>
      <c r="K13" s="12">
        <v>8565775000000</v>
      </c>
      <c r="L13" s="13">
        <f>K13/1000000000</f>
        <v>8565.7749999999996</v>
      </c>
    </row>
    <row r="14" spans="1:14" x14ac:dyDescent="0.25">
      <c r="A14" s="18"/>
      <c r="B14" s="18" t="s">
        <v>25</v>
      </c>
      <c r="C14" s="18"/>
      <c r="D14" s="18"/>
      <c r="E14" s="18"/>
      <c r="F14" s="18"/>
      <c r="I14" s="27" t="s">
        <v>31</v>
      </c>
      <c r="K14" s="12">
        <v>6880719000000</v>
      </c>
      <c r="L14" s="13">
        <f>K14/1000000000</f>
        <v>6880.7190000000001</v>
      </c>
    </row>
    <row r="15" spans="1:14" x14ac:dyDescent="0.25">
      <c r="A15" s="18"/>
      <c r="B15" s="18" t="s">
        <v>17</v>
      </c>
      <c r="C15" s="18"/>
      <c r="D15" s="18"/>
      <c r="E15" s="18"/>
      <c r="F15" s="18"/>
      <c r="I15" s="27" t="s">
        <v>32</v>
      </c>
      <c r="L15" s="3">
        <f>L8/1000000000</f>
        <v>5072.6692456249339</v>
      </c>
    </row>
    <row r="16" spans="1:14" x14ac:dyDescent="0.25">
      <c r="A16" s="18"/>
      <c r="B16" s="18"/>
      <c r="C16" s="18"/>
      <c r="D16" s="18"/>
      <c r="E16" s="18"/>
      <c r="F16" s="18"/>
    </row>
    <row r="17" spans="1:12" x14ac:dyDescent="0.25">
      <c r="A17" s="18"/>
      <c r="B17" s="19" t="s">
        <v>16</v>
      </c>
      <c r="C17" s="18" t="s">
        <v>20</v>
      </c>
      <c r="D17" s="18"/>
      <c r="E17" s="20" t="s">
        <v>3</v>
      </c>
      <c r="F17" s="18" t="s">
        <v>13</v>
      </c>
    </row>
    <row r="18" spans="1:12" ht="15.75" thickBot="1" x14ac:dyDescent="0.3">
      <c r="A18" s="21" t="s">
        <v>14</v>
      </c>
      <c r="B18" s="22" t="s">
        <v>15</v>
      </c>
      <c r="C18" s="21"/>
      <c r="D18" s="18"/>
      <c r="E18" s="22" t="s">
        <v>19</v>
      </c>
      <c r="F18" s="21"/>
    </row>
    <row r="19" spans="1:12" x14ac:dyDescent="0.25">
      <c r="A19" s="23" t="s">
        <v>4</v>
      </c>
      <c r="B19" s="19">
        <f>2110098.86666667/1000000</f>
        <v>2.1100988666666698</v>
      </c>
      <c r="C19" s="24">
        <v>1.80193981583983E-2</v>
      </c>
      <c r="D19" s="18"/>
      <c r="E19" s="19">
        <f>23109083581.6187/1000000000</f>
        <v>23.109083581618698</v>
      </c>
      <c r="F19" s="25">
        <v>4.5556062228085826E-3</v>
      </c>
      <c r="K19" s="3"/>
      <c r="L19" s="3"/>
    </row>
    <row r="20" spans="1:12" x14ac:dyDescent="0.25">
      <c r="A20" s="23" t="s">
        <v>5</v>
      </c>
      <c r="B20" s="19">
        <f>15096119.6666667/1000000</f>
        <v>15.0961196666667</v>
      </c>
      <c r="C20" s="24">
        <v>0.12891480831427099</v>
      </c>
      <c r="D20" s="18"/>
      <c r="E20" s="19">
        <f>204217063815.44/1000000000</f>
        <v>204.21706381544001</v>
      </c>
      <c r="F20" s="25">
        <v>4.0258304637459406E-2</v>
      </c>
      <c r="G20" s="16"/>
      <c r="K20" s="3"/>
      <c r="L20" s="3"/>
    </row>
    <row r="21" spans="1:12" x14ac:dyDescent="0.25">
      <c r="A21" s="23" t="s">
        <v>6</v>
      </c>
      <c r="B21" s="19">
        <f>22330038.6666667/1000000</f>
        <v>22.330038666666702</v>
      </c>
      <c r="C21" s="24">
        <v>0.19068957572719247</v>
      </c>
      <c r="D21" s="18"/>
      <c r="E21" s="19">
        <f>337903240963.427/1000000000</f>
        <v>337.90324096342698</v>
      </c>
      <c r="F21" s="25">
        <v>6.6612511993534934E-2</v>
      </c>
      <c r="K21" s="3"/>
      <c r="L21" s="3"/>
    </row>
    <row r="22" spans="1:12" x14ac:dyDescent="0.25">
      <c r="A22" s="23" t="s">
        <v>9</v>
      </c>
      <c r="B22" s="19">
        <f>69049524.2384667/1000000</f>
        <v>69.049524238466688</v>
      </c>
      <c r="C22" s="24">
        <v>0.58965524770240885</v>
      </c>
      <c r="D22" s="18"/>
      <c r="E22" s="19">
        <f>2164596379850.67/1000000000</f>
        <v>2164.59637985067</v>
      </c>
      <c r="F22" s="25">
        <v>0.42671742923463496</v>
      </c>
      <c r="K22" s="3"/>
      <c r="L22" s="3"/>
    </row>
    <row r="23" spans="1:12" x14ac:dyDescent="0.25">
      <c r="A23" s="23" t="s">
        <v>10</v>
      </c>
      <c r="B23" s="19">
        <f>117101517.382433/1000000</f>
        <v>117.101517382433</v>
      </c>
      <c r="C23" s="24">
        <v>1</v>
      </c>
      <c r="D23" s="18"/>
      <c r="E23" s="19">
        <f>5072669245624.93/1000000000</f>
        <v>5072.6692456249293</v>
      </c>
      <c r="F23" s="26">
        <v>1</v>
      </c>
      <c r="G23" s="5"/>
      <c r="K23" s="3"/>
      <c r="L23" s="3"/>
    </row>
    <row r="25" spans="1:12" x14ac:dyDescent="0.25">
      <c r="C25" s="8"/>
    </row>
    <row r="26" spans="1:12" x14ac:dyDescent="0.25">
      <c r="A26" s="1"/>
      <c r="B26" s="9"/>
      <c r="D26" s="9"/>
      <c r="G26" s="2"/>
    </row>
    <row r="27" spans="1:12" x14ac:dyDescent="0.25">
      <c r="A27" s="1"/>
      <c r="B27" s="9"/>
      <c r="D27" s="9"/>
      <c r="G27" s="2"/>
    </row>
    <row r="28" spans="1:12" x14ac:dyDescent="0.25">
      <c r="A28" s="4"/>
      <c r="B28" s="5"/>
      <c r="D28" s="4"/>
      <c r="E28" s="4"/>
      <c r="F28" s="13"/>
    </row>
    <row r="29" spans="1:12" x14ac:dyDescent="0.25">
      <c r="B29" s="13"/>
      <c r="C29" s="13"/>
    </row>
    <row r="30" spans="1:12" x14ac:dyDescent="0.25">
      <c r="B30" s="13"/>
    </row>
    <row r="31" spans="1:12" x14ac:dyDescent="0.25">
      <c r="B31" s="13"/>
      <c r="C31" s="13"/>
    </row>
    <row r="32" spans="1:12" x14ac:dyDescent="0.25">
      <c r="B32" s="13"/>
      <c r="C32" s="13"/>
      <c r="F32" s="13"/>
    </row>
    <row r="33" spans="2:10" x14ac:dyDescent="0.25">
      <c r="B33" s="13"/>
      <c r="F33" s="3"/>
    </row>
    <row r="35" spans="2:10" x14ac:dyDescent="0.25">
      <c r="B35" s="13"/>
    </row>
    <row r="36" spans="2:10" x14ac:dyDescent="0.25">
      <c r="B36" s="13"/>
    </row>
    <row r="37" spans="2:10" x14ac:dyDescent="0.25">
      <c r="B37" s="13"/>
    </row>
    <row r="38" spans="2:10" x14ac:dyDescent="0.25">
      <c r="B38" s="13"/>
    </row>
    <row r="39" spans="2:10" x14ac:dyDescent="0.25">
      <c r="B39" s="13"/>
    </row>
    <row r="40" spans="2:10" x14ac:dyDescent="0.25">
      <c r="B40" s="13"/>
    </row>
    <row r="41" spans="2:10" x14ac:dyDescent="0.25">
      <c r="B41" s="15"/>
    </row>
    <row r="42" spans="2:10" x14ac:dyDescent="0.25">
      <c r="B42" s="15"/>
    </row>
    <row r="44" spans="2:10" x14ac:dyDescent="0.25">
      <c r="J44" s="3"/>
    </row>
    <row r="45" spans="2:10" x14ac:dyDescent="0.25">
      <c r="J45" s="3"/>
    </row>
    <row r="48" spans="2:10" x14ac:dyDescent="0.25">
      <c r="B48" s="13"/>
    </row>
    <row r="51" spans="2:2" x14ac:dyDescent="0.25">
      <c r="B51" s="1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8"/>
  <sheetViews>
    <sheetView workbookViewId="0">
      <selection activeCell="K22" sqref="K22"/>
    </sheetView>
  </sheetViews>
  <sheetFormatPr defaultRowHeight="15" x14ac:dyDescent="0.25"/>
  <cols>
    <col min="1" max="1" width="11" customWidth="1"/>
    <col min="2" max="2" width="13.5703125" customWidth="1"/>
    <col min="4" max="4" width="15.5703125" bestFit="1" customWidth="1"/>
    <col min="5" max="5" width="15.28515625" customWidth="1"/>
  </cols>
  <sheetData>
    <row r="1" spans="1:12" x14ac:dyDescent="0.25">
      <c r="A1" s="28" t="s">
        <v>67</v>
      </c>
    </row>
    <row r="3" spans="1:12" x14ac:dyDescent="0.25">
      <c r="A3" s="33" t="s">
        <v>41</v>
      </c>
      <c r="B3" s="33"/>
      <c r="C3" s="33"/>
      <c r="D3" s="33"/>
      <c r="E3" s="29">
        <v>250</v>
      </c>
      <c r="F3" t="s">
        <v>42</v>
      </c>
    </row>
    <row r="5" spans="1:12" x14ac:dyDescent="0.25">
      <c r="A5" s="1" t="s">
        <v>0</v>
      </c>
      <c r="D5" s="17" t="s">
        <v>2</v>
      </c>
      <c r="F5" s="6"/>
    </row>
    <row r="6" spans="1:12" x14ac:dyDescent="0.25">
      <c r="A6" s="1" t="s">
        <v>4</v>
      </c>
      <c r="B6" s="9"/>
      <c r="D6" s="5">
        <v>2110098.8666666667</v>
      </c>
      <c r="G6" s="2"/>
      <c r="K6" s="3"/>
      <c r="L6" s="3"/>
    </row>
    <row r="7" spans="1:12" x14ac:dyDescent="0.25">
      <c r="A7" s="1" t="s">
        <v>5</v>
      </c>
      <c r="B7" s="9"/>
      <c r="D7" s="5">
        <v>15096119.666666666</v>
      </c>
      <c r="G7" s="2"/>
      <c r="K7" s="3"/>
      <c r="L7" s="3"/>
    </row>
    <row r="8" spans="1:12" x14ac:dyDescent="0.25">
      <c r="A8" s="1" t="s">
        <v>6</v>
      </c>
      <c r="B8" s="9"/>
      <c r="D8" s="5">
        <v>22330038.666666668</v>
      </c>
      <c r="G8" s="2"/>
      <c r="K8" s="3"/>
      <c r="L8" s="3"/>
    </row>
    <row r="9" spans="1:12" x14ac:dyDescent="0.25">
      <c r="A9" s="1" t="s">
        <v>9</v>
      </c>
      <c r="B9" s="9"/>
      <c r="D9" s="5">
        <v>69049524.238466665</v>
      </c>
      <c r="G9" s="2"/>
      <c r="K9" s="3"/>
      <c r="L9" s="3"/>
    </row>
    <row r="10" spans="1:12" x14ac:dyDescent="0.25">
      <c r="A10" s="6" t="s">
        <v>10</v>
      </c>
      <c r="B10" s="9"/>
      <c r="D10" s="5">
        <v>117101517.38243334</v>
      </c>
      <c r="G10" s="2"/>
      <c r="K10" s="3"/>
      <c r="L10" s="3"/>
    </row>
    <row r="12" spans="1:12" x14ac:dyDescent="0.25">
      <c r="A12" t="s">
        <v>46</v>
      </c>
    </row>
    <row r="14" spans="1:12" x14ac:dyDescent="0.25">
      <c r="A14" t="s">
        <v>45</v>
      </c>
      <c r="C14" t="s">
        <v>43</v>
      </c>
      <c r="D14" s="29">
        <f>E3*D7*1.75</f>
        <v>6604552354.166666</v>
      </c>
    </row>
    <row r="15" spans="1:12" x14ac:dyDescent="0.25">
      <c r="C15" t="s">
        <v>44</v>
      </c>
      <c r="D15" s="29">
        <f>E3/3*(D8-D7)*1.75</f>
        <v>1054946520.8333336</v>
      </c>
    </row>
    <row r="16" spans="1:12" x14ac:dyDescent="0.25">
      <c r="A16" t="s">
        <v>47</v>
      </c>
      <c r="C16" t="s">
        <v>43</v>
      </c>
      <c r="D16" s="29">
        <f>D14*4</f>
        <v>26418209416.666664</v>
      </c>
    </row>
    <row r="17" spans="3:4" x14ac:dyDescent="0.25">
      <c r="C17" t="s">
        <v>44</v>
      </c>
      <c r="D17" s="29">
        <f>D15*4</f>
        <v>4219786083.3333344</v>
      </c>
    </row>
    <row r="18" spans="3:4" x14ac:dyDescent="0.25">
      <c r="C18" t="s">
        <v>48</v>
      </c>
      <c r="D18" s="29">
        <f>D16+D17</f>
        <v>30637995500</v>
      </c>
    </row>
  </sheetData>
  <mergeCells count="1"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9"/>
  <sheetViews>
    <sheetView workbookViewId="0">
      <selection activeCell="B3" sqref="B3"/>
    </sheetView>
  </sheetViews>
  <sheetFormatPr defaultRowHeight="15" x14ac:dyDescent="0.25"/>
  <cols>
    <col min="1" max="1" width="44.5703125" customWidth="1"/>
    <col min="2" max="2" width="16.140625" customWidth="1"/>
  </cols>
  <sheetData>
    <row r="1" spans="1:2" x14ac:dyDescent="0.25">
      <c r="A1" s="28" t="s">
        <v>49</v>
      </c>
    </row>
    <row r="3" spans="1:2" x14ac:dyDescent="0.25">
      <c r="A3" t="s">
        <v>50</v>
      </c>
      <c r="B3" s="29">
        <v>30637995500</v>
      </c>
    </row>
    <row r="4" spans="1:2" x14ac:dyDescent="0.25">
      <c r="A4" t="s">
        <v>51</v>
      </c>
      <c r="B4">
        <v>15681.5</v>
      </c>
    </row>
    <row r="5" spans="1:2" x14ac:dyDescent="0.25">
      <c r="A5" t="s">
        <v>52</v>
      </c>
      <c r="B5">
        <v>11120.9</v>
      </c>
    </row>
    <row r="6" spans="1:2" x14ac:dyDescent="0.25">
      <c r="A6" t="s">
        <v>53</v>
      </c>
      <c r="B6">
        <v>1</v>
      </c>
    </row>
    <row r="8" spans="1:2" x14ac:dyDescent="0.25">
      <c r="A8" t="s">
        <v>54</v>
      </c>
      <c r="B8">
        <f>B3/(B4*1000000000)</f>
        <v>1.9537668909224244E-3</v>
      </c>
    </row>
    <row r="9" spans="1:2" x14ac:dyDescent="0.25">
      <c r="A9" t="s">
        <v>55</v>
      </c>
      <c r="B9">
        <f>B3/(B5*1000000000)</f>
        <v>2.7549924466544972E-3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5"/>
  <sheetViews>
    <sheetView tabSelected="1" workbookViewId="0">
      <selection activeCell="B20" sqref="B20"/>
    </sheetView>
  </sheetViews>
  <sheetFormatPr defaultRowHeight="15" x14ac:dyDescent="0.25"/>
  <cols>
    <col min="1" max="1" width="44.5703125" customWidth="1"/>
    <col min="2" max="2" width="19.42578125" customWidth="1"/>
    <col min="3" max="3" width="14.85546875" customWidth="1"/>
    <col min="4" max="4" width="43.42578125" customWidth="1"/>
    <col min="5" max="6" width="18.85546875" customWidth="1"/>
    <col min="7" max="7" width="43.42578125" customWidth="1"/>
    <col min="8" max="8" width="19.7109375" customWidth="1"/>
    <col min="10" max="10" width="43.42578125" customWidth="1"/>
    <col min="11" max="11" width="19.7109375" customWidth="1"/>
    <col min="12" max="12" width="24" customWidth="1"/>
    <col min="13" max="13" width="10.28515625" customWidth="1"/>
  </cols>
  <sheetData>
    <row r="1" spans="1:13" x14ac:dyDescent="0.25">
      <c r="A1" s="28" t="s">
        <v>56</v>
      </c>
    </row>
    <row r="3" spans="1:13" x14ac:dyDescent="0.25">
      <c r="A3" s="1" t="s">
        <v>0</v>
      </c>
      <c r="B3" t="s">
        <v>2</v>
      </c>
      <c r="C3" s="6"/>
    </row>
    <row r="4" spans="1:13" x14ac:dyDescent="0.25">
      <c r="A4" s="1" t="s">
        <v>4</v>
      </c>
      <c r="B4" s="30">
        <v>2110098.86666667</v>
      </c>
      <c r="H4" s="3"/>
      <c r="I4" s="3"/>
    </row>
    <row r="5" spans="1:13" x14ac:dyDescent="0.25">
      <c r="A5" s="1" t="s">
        <v>5</v>
      </c>
      <c r="B5" s="30">
        <v>15096119.666666666</v>
      </c>
      <c r="H5" s="3"/>
      <c r="I5" s="3"/>
    </row>
    <row r="6" spans="1:13" x14ac:dyDescent="0.25">
      <c r="A6" s="1" t="s">
        <v>6</v>
      </c>
      <c r="B6" s="30">
        <v>22330038.666666668</v>
      </c>
      <c r="H6" s="3"/>
      <c r="I6" s="3"/>
    </row>
    <row r="7" spans="1:13" x14ac:dyDescent="0.25">
      <c r="A7" s="1" t="s">
        <v>9</v>
      </c>
      <c r="B7" s="30">
        <v>69049524.238466665</v>
      </c>
      <c r="H7" s="3"/>
      <c r="I7" s="3"/>
    </row>
    <row r="8" spans="1:13" x14ac:dyDescent="0.25">
      <c r="A8" s="6" t="s">
        <v>10</v>
      </c>
      <c r="B8" s="30">
        <v>117101517.38243334</v>
      </c>
      <c r="H8" s="3"/>
      <c r="I8" s="3"/>
    </row>
    <row r="9" spans="1:13" x14ac:dyDescent="0.25">
      <c r="L9" s="14"/>
      <c r="M9" s="14"/>
    </row>
    <row r="10" spans="1:13" x14ac:dyDescent="0.25">
      <c r="A10" t="s">
        <v>63</v>
      </c>
      <c r="B10">
        <v>15681.5</v>
      </c>
      <c r="L10" s="14"/>
      <c r="M10" s="14"/>
    </row>
    <row r="11" spans="1:13" x14ac:dyDescent="0.25">
      <c r="A11" t="s">
        <v>64</v>
      </c>
      <c r="B11">
        <v>11120.9</v>
      </c>
      <c r="L11" s="14"/>
      <c r="M11" s="14"/>
    </row>
    <row r="12" spans="1:13" x14ac:dyDescent="0.25">
      <c r="L12" s="14"/>
      <c r="M12" s="14"/>
    </row>
    <row r="13" spans="1:13" x14ac:dyDescent="0.25">
      <c r="L13" s="14"/>
      <c r="M13" s="14"/>
    </row>
    <row r="14" spans="1:13" x14ac:dyDescent="0.25">
      <c r="L14" s="14"/>
      <c r="M14" s="14"/>
    </row>
    <row r="15" spans="1:13" x14ac:dyDescent="0.25">
      <c r="A15" t="s">
        <v>37</v>
      </c>
      <c r="B15">
        <v>0</v>
      </c>
      <c r="C15" s="8"/>
      <c r="D15" t="s">
        <v>37</v>
      </c>
      <c r="E15" s="28">
        <v>0.5</v>
      </c>
      <c r="G15" t="s">
        <v>37</v>
      </c>
      <c r="H15" s="28">
        <v>0.7</v>
      </c>
      <c r="J15" t="s">
        <v>37</v>
      </c>
      <c r="K15" s="32">
        <v>0.5</v>
      </c>
      <c r="M15" s="3"/>
    </row>
    <row r="16" spans="1:13" x14ac:dyDescent="0.25">
      <c r="A16" t="s">
        <v>38</v>
      </c>
      <c r="B16">
        <v>0</v>
      </c>
      <c r="D16" t="s">
        <v>38</v>
      </c>
      <c r="E16" s="28">
        <v>0.25</v>
      </c>
      <c r="G16" t="s">
        <v>38</v>
      </c>
      <c r="H16" s="28">
        <v>0.7</v>
      </c>
      <c r="J16" t="s">
        <v>38</v>
      </c>
      <c r="K16" s="32">
        <v>0.25</v>
      </c>
    </row>
    <row r="17" spans="1:11" x14ac:dyDescent="0.25">
      <c r="F17" s="13"/>
    </row>
    <row r="18" spans="1:11" x14ac:dyDescent="0.25">
      <c r="A18" s="28" t="s">
        <v>59</v>
      </c>
      <c r="C18" s="13"/>
      <c r="D18" s="28" t="s">
        <v>59</v>
      </c>
      <c r="G18" s="28" t="s">
        <v>59</v>
      </c>
      <c r="J18" s="28" t="s">
        <v>59</v>
      </c>
    </row>
    <row r="19" spans="1:11" x14ac:dyDescent="0.25">
      <c r="A19" s="1"/>
      <c r="B19" s="9"/>
      <c r="D19" s="1"/>
      <c r="E19" s="9"/>
      <c r="G19" s="1"/>
      <c r="H19" s="9"/>
      <c r="J19" s="1"/>
      <c r="K19" s="9"/>
    </row>
    <row r="20" spans="1:11" x14ac:dyDescent="0.25">
      <c r="A20" s="4" t="s">
        <v>57</v>
      </c>
      <c r="B20" s="5">
        <f>B5+(B6-B5)/3</f>
        <v>17507426</v>
      </c>
      <c r="C20" s="13"/>
      <c r="D20" s="4" t="s">
        <v>57</v>
      </c>
      <c r="E20" s="5">
        <f>B5+(B6-B5)/3</f>
        <v>17507426</v>
      </c>
      <c r="G20" s="4" t="s">
        <v>57</v>
      </c>
      <c r="H20" s="5">
        <f>B5+(B6-B5)/3</f>
        <v>17507426</v>
      </c>
      <c r="J20" s="4" t="s">
        <v>57</v>
      </c>
      <c r="K20" s="5">
        <f>B5+(B6-B5)/3</f>
        <v>17507426</v>
      </c>
    </row>
    <row r="21" spans="1:11" x14ac:dyDescent="0.25">
      <c r="A21" t="s">
        <v>65</v>
      </c>
      <c r="B21" s="13">
        <f>(0.77*B20*2800)*(1-B15)+(0.23*B20*1000)*(1-B16)</f>
        <v>41772718436</v>
      </c>
      <c r="C21" s="13"/>
      <c r="D21" t="s">
        <v>65</v>
      </c>
      <c r="E21" s="13">
        <f>(0.77*E20*2800)*(1-E16)+(0.23*E20*1000)*(1-E15)</f>
        <v>30322861832</v>
      </c>
      <c r="F21" s="13"/>
      <c r="G21" t="s">
        <v>65</v>
      </c>
      <c r="H21" s="13">
        <f>(0.77*H20*2800)*(1-H16)+(0.23*H20*1000)*(1-H15)</f>
        <v>12531815530.800001</v>
      </c>
      <c r="J21" s="28" t="s">
        <v>66</v>
      </c>
      <c r="K21" s="13">
        <f>(0.77*K20*1400)*(1-K16)+(0.23*K20*1000)*(1-K15)</f>
        <v>16168107911</v>
      </c>
    </row>
    <row r="22" spans="1:11" x14ac:dyDescent="0.25">
      <c r="A22" t="s">
        <v>26</v>
      </c>
      <c r="B22" s="13">
        <f>B21/1000000000</f>
        <v>41.772718435999998</v>
      </c>
      <c r="D22" t="s">
        <v>26</v>
      </c>
      <c r="E22" s="13">
        <f>E21/1000000000</f>
        <v>30.322861832000001</v>
      </c>
      <c r="F22" s="3"/>
      <c r="G22" t="s">
        <v>26</v>
      </c>
      <c r="H22" s="13">
        <f>H21/1000000000</f>
        <v>12.531815530800001</v>
      </c>
      <c r="J22" t="s">
        <v>26</v>
      </c>
      <c r="K22" s="13">
        <f>K21/1000000000</f>
        <v>16.168107911</v>
      </c>
    </row>
    <row r="23" spans="1:11" x14ac:dyDescent="0.25">
      <c r="A23" t="s">
        <v>27</v>
      </c>
      <c r="B23" s="13">
        <f>B22*1.75</f>
        <v>73.102257262999998</v>
      </c>
      <c r="D23" t="s">
        <v>27</v>
      </c>
      <c r="E23" s="13">
        <f>E22*1.75</f>
        <v>53.065008206000002</v>
      </c>
      <c r="G23" t="s">
        <v>27</v>
      </c>
      <c r="H23" s="13">
        <f>H22*1.75</f>
        <v>21.930677178900002</v>
      </c>
      <c r="J23" t="s">
        <v>27</v>
      </c>
      <c r="K23" s="13">
        <f>K22*1.75</f>
        <v>28.294188844250002</v>
      </c>
    </row>
    <row r="24" spans="1:11" s="28" customFormat="1" x14ac:dyDescent="0.25">
      <c r="A24" t="s">
        <v>28</v>
      </c>
      <c r="B24" s="9">
        <f>B23/B10</f>
        <v>4.6616878017409049E-3</v>
      </c>
      <c r="D24" t="s">
        <v>28</v>
      </c>
      <c r="E24" s="9">
        <f>E23/B10</f>
        <v>3.3839242550776395E-3</v>
      </c>
      <c r="G24" t="s">
        <v>28</v>
      </c>
      <c r="H24" s="9">
        <f>H23/B10</f>
        <v>1.3985063405222715E-3</v>
      </c>
      <c r="J24" t="s">
        <v>28</v>
      </c>
      <c r="K24" s="9">
        <f>K23/B10</f>
        <v>1.8043037237668591E-3</v>
      </c>
    </row>
    <row r="25" spans="1:11" x14ac:dyDescent="0.25">
      <c r="A25" t="s">
        <v>29</v>
      </c>
      <c r="B25" s="9">
        <f>B23/B11</f>
        <v>6.5734119777176312E-3</v>
      </c>
      <c r="D25" t="s">
        <v>29</v>
      </c>
      <c r="E25" s="9">
        <f>E23/B11</f>
        <v>4.7716469176055896E-3</v>
      </c>
      <c r="G25" t="s">
        <v>29</v>
      </c>
      <c r="H25" s="9">
        <f>H23/B11</f>
        <v>1.9720235933152895E-3</v>
      </c>
      <c r="J25" t="s">
        <v>29</v>
      </c>
      <c r="K25" s="9">
        <f>K23/B11</f>
        <v>2.5442355244854288E-3</v>
      </c>
    </row>
    <row r="27" spans="1:11" x14ac:dyDescent="0.25">
      <c r="A27" s="28" t="s">
        <v>58</v>
      </c>
      <c r="B27" s="28"/>
      <c r="D27" s="28" t="s">
        <v>58</v>
      </c>
      <c r="E27" s="28"/>
      <c r="G27" s="28" t="s">
        <v>58</v>
      </c>
      <c r="H27" s="28"/>
      <c r="J27" s="28" t="s">
        <v>58</v>
      </c>
      <c r="K27" s="28"/>
    </row>
    <row r="29" spans="1:11" x14ac:dyDescent="0.25">
      <c r="A29" t="s">
        <v>61</v>
      </c>
      <c r="B29" s="13">
        <f>B20*1000</f>
        <v>17507426000</v>
      </c>
      <c r="D29" t="s">
        <v>61</v>
      </c>
      <c r="E29" s="13">
        <f>E20*1000</f>
        <v>17507426000</v>
      </c>
      <c r="G29" t="s">
        <v>61</v>
      </c>
      <c r="H29" s="13">
        <f>H20*1000</f>
        <v>17507426000</v>
      </c>
      <c r="J29" t="s">
        <v>61</v>
      </c>
      <c r="K29" s="13">
        <f>K20*1000</f>
        <v>17507426000</v>
      </c>
    </row>
    <row r="30" spans="1:11" x14ac:dyDescent="0.25">
      <c r="A30" t="s">
        <v>26</v>
      </c>
      <c r="B30" s="13">
        <f>B29/1000000000</f>
        <v>17.507425999999999</v>
      </c>
      <c r="D30" t="s">
        <v>26</v>
      </c>
      <c r="E30" s="13">
        <f>E29/1000000000</f>
        <v>17.507425999999999</v>
      </c>
      <c r="G30" t="s">
        <v>26</v>
      </c>
      <c r="H30" s="13">
        <f>H29/1000000000</f>
        <v>17.507425999999999</v>
      </c>
      <c r="J30" t="s">
        <v>26</v>
      </c>
      <c r="K30" s="13">
        <f>K29/1000000000</f>
        <v>17.507425999999999</v>
      </c>
    </row>
    <row r="31" spans="1:11" x14ac:dyDescent="0.25">
      <c r="A31" t="s">
        <v>60</v>
      </c>
      <c r="B31" s="13">
        <f>B30*1.75</f>
        <v>30.637995499999999</v>
      </c>
      <c r="D31" t="s">
        <v>60</v>
      </c>
      <c r="E31" s="13">
        <f>E30*1.75</f>
        <v>30.637995499999999</v>
      </c>
      <c r="G31" t="s">
        <v>60</v>
      </c>
      <c r="H31" s="13">
        <f>H30*1.75</f>
        <v>30.637995499999999</v>
      </c>
      <c r="J31" t="s">
        <v>60</v>
      </c>
      <c r="K31" s="13">
        <f>K30*1.75</f>
        <v>30.637995499999999</v>
      </c>
    </row>
    <row r="32" spans="1:11" x14ac:dyDescent="0.25">
      <c r="A32" t="s">
        <v>33</v>
      </c>
      <c r="B32" s="13">
        <f>B31</f>
        <v>30.637995499999999</v>
      </c>
      <c r="D32" t="s">
        <v>33</v>
      </c>
      <c r="E32" s="13">
        <f>E31</f>
        <v>30.637995499999999</v>
      </c>
      <c r="G32" t="s">
        <v>33</v>
      </c>
      <c r="H32" s="13">
        <f>H31</f>
        <v>30.637995499999999</v>
      </c>
      <c r="J32" t="s">
        <v>33</v>
      </c>
      <c r="K32" s="13">
        <f>K31</f>
        <v>30.637995499999999</v>
      </c>
    </row>
    <row r="33" spans="1:11" x14ac:dyDescent="0.25">
      <c r="A33" t="s">
        <v>62</v>
      </c>
      <c r="B33" s="13">
        <f>B32*0.8</f>
        <v>24.510396400000001</v>
      </c>
      <c r="D33" t="s">
        <v>62</v>
      </c>
      <c r="E33" s="13">
        <f>E32*0.8</f>
        <v>24.510396400000001</v>
      </c>
      <c r="G33" t="s">
        <v>62</v>
      </c>
      <c r="H33" s="13">
        <f>H32*0.8</f>
        <v>24.510396400000001</v>
      </c>
      <c r="J33" s="32" t="s">
        <v>62</v>
      </c>
      <c r="K33" s="13">
        <f>K32*0.8</f>
        <v>24.510396400000001</v>
      </c>
    </row>
    <row r="34" spans="1:11" x14ac:dyDescent="0.25">
      <c r="A34" t="s">
        <v>34</v>
      </c>
      <c r="B34" s="13">
        <f>B23-B33</f>
        <v>48.591860862999994</v>
      </c>
      <c r="D34" t="s">
        <v>34</v>
      </c>
      <c r="E34" s="13">
        <f>E23-E33</f>
        <v>28.554611806</v>
      </c>
      <c r="G34" t="s">
        <v>34</v>
      </c>
      <c r="H34" s="31">
        <f>H23-H33</f>
        <v>-2.5797192210999995</v>
      </c>
      <c r="J34" t="s">
        <v>34</v>
      </c>
      <c r="K34" s="31">
        <f>K23-K33</f>
        <v>3.7837924442500004</v>
      </c>
    </row>
    <row r="35" spans="1:11" x14ac:dyDescent="0.25">
      <c r="A35" t="s">
        <v>35</v>
      </c>
      <c r="B35" s="15">
        <f>B34/B10</f>
        <v>3.0986742890029648E-3</v>
      </c>
      <c r="D35" t="s">
        <v>35</v>
      </c>
      <c r="E35" s="15">
        <f>E34/B10</f>
        <v>1.8209107423396997E-3</v>
      </c>
      <c r="G35" t="s">
        <v>35</v>
      </c>
      <c r="H35" s="9">
        <f>H34/B10</f>
        <v>-1.6450717221566812E-4</v>
      </c>
      <c r="J35" t="s">
        <v>35</v>
      </c>
      <c r="K35" s="9">
        <f>K34/B10</f>
        <v>2.4129021102891945E-4</v>
      </c>
    </row>
    <row r="36" spans="1:11" x14ac:dyDescent="0.25">
      <c r="A36" t="s">
        <v>36</v>
      </c>
      <c r="B36" s="15">
        <f>B34/B11</f>
        <v>4.3694180203940327E-3</v>
      </c>
      <c r="D36" t="s">
        <v>36</v>
      </c>
      <c r="E36" s="15">
        <f>E34/B11</f>
        <v>2.5676529602819916E-3</v>
      </c>
      <c r="F36" s="15"/>
      <c r="G36" t="s">
        <v>36</v>
      </c>
      <c r="H36" s="9">
        <f>H34/B11</f>
        <v>-2.3197036400830865E-4</v>
      </c>
      <c r="J36" t="s">
        <v>36</v>
      </c>
      <c r="K36" s="9">
        <f>K34/B11</f>
        <v>3.4024156716183049E-4</v>
      </c>
    </row>
    <row r="37" spans="1:11" x14ac:dyDescent="0.25">
      <c r="H37" s="3"/>
    </row>
    <row r="42" spans="1:11" x14ac:dyDescent="0.25">
      <c r="B42" s="13"/>
    </row>
    <row r="45" spans="1:11" x14ac:dyDescent="0.25">
      <c r="B45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Income</vt:lpstr>
      <vt:lpstr>Prices</vt:lpstr>
      <vt:lpstr>Spending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2014-04-11T16:56:03Z</dcterms:created>
  <dcterms:modified xsi:type="dcterms:W3CDTF">2014-04-11T16:56:44Z</dcterms:modified>
</cp:coreProperties>
</file>